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die.loet\Desktop\"/>
    </mc:Choice>
  </mc:AlternateContent>
  <xr:revisionPtr revIDLastSave="0" documentId="8_{DECE5DBA-A914-47ED-B606-DF9AD871A9BB}" xr6:coauthVersionLast="47" xr6:coauthVersionMax="47" xr10:uidLastSave="{00000000-0000-0000-0000-000000000000}"/>
  <bookViews>
    <workbookView xWindow="-108" yWindow="-108" windowWidth="23256" windowHeight="13896" firstSheet="1" activeTab="1" xr2:uid="{37686156-BC7A-4501-82FB-36FA5D690ADF}"/>
  </bookViews>
  <sheets>
    <sheet name="2025" sheetId="2" state="hidden" r:id="rId1"/>
    <sheet name="rekentool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C5" i="2"/>
  <c r="C13" i="2" s="1"/>
  <c r="G13" i="2" s="1"/>
  <c r="C31" i="2"/>
  <c r="C39" i="2" s="1"/>
  <c r="G39" i="2" s="1"/>
  <c r="F25" i="2"/>
  <c r="G25" i="2" s="1"/>
  <c r="C25" i="2"/>
  <c r="F24" i="2"/>
  <c r="C24" i="2"/>
  <c r="G24" i="2" s="1"/>
  <c r="F23" i="2"/>
  <c r="G23" i="2" s="1"/>
  <c r="C23" i="2"/>
  <c r="F22" i="2"/>
  <c r="G22" i="2" s="1"/>
  <c r="C22" i="2"/>
  <c r="F13" i="2"/>
  <c r="F12" i="2"/>
  <c r="F11" i="2"/>
  <c r="F10" i="2"/>
  <c r="F9" i="2"/>
  <c r="C9" i="2" l="1"/>
  <c r="G9" i="2" s="1"/>
  <c r="C6" i="1" s="1"/>
  <c r="G26" i="2"/>
  <c r="C35" i="2"/>
  <c r="G35" i="2" s="1"/>
  <c r="C10" i="2" l="1"/>
  <c r="C11" i="2" s="1"/>
  <c r="C12" i="2" s="1"/>
  <c r="G12" i="2" s="1"/>
  <c r="C9" i="1" s="1"/>
  <c r="C36" i="2"/>
  <c r="G27" i="2"/>
  <c r="H26" i="2"/>
  <c r="G10" i="2" l="1"/>
  <c r="C7" i="1" s="1"/>
  <c r="G11" i="2"/>
  <c r="C8" i="1" s="1"/>
  <c r="G36" i="2"/>
  <c r="C37" i="2"/>
  <c r="G14" i="2" l="1"/>
  <c r="G37" i="2"/>
  <c r="C38" i="2"/>
  <c r="G38" i="2" s="1"/>
  <c r="G40" i="2"/>
  <c r="G41" i="2" s="1"/>
  <c r="H14" i="2" l="1"/>
  <c r="G15" i="2"/>
  <c r="C11" i="1" l="1"/>
  <c r="C18" i="1"/>
  <c r="C17" i="1"/>
  <c r="C15" i="1"/>
  <c r="C4" i="1"/>
  <c r="C3" i="1"/>
  <c r="C13" i="1" s="1"/>
  <c r="C20" i="1" l="1"/>
  <c r="C22" i="1" l="1"/>
  <c r="C23" i="1" s="1"/>
  <c r="C24" i="1" s="1"/>
</calcChain>
</file>

<file path=xl/sharedStrings.xml><?xml version="1.0" encoding="utf-8"?>
<sst xmlns="http://schemas.openxmlformats.org/spreadsheetml/2006/main" count="94" uniqueCount="67">
  <si>
    <t>Elektriciteit Normaal</t>
  </si>
  <si>
    <t>Elektriciteit Dal</t>
  </si>
  <si>
    <t>Vaste leveringskosten</t>
  </si>
  <si>
    <t>Energiebelasting 50001-10000000</t>
  </si>
  <si>
    <t>Vermindering energiebelasting (verblijfsfunctie)</t>
  </si>
  <si>
    <t>Netbeheerkosten</t>
  </si>
  <si>
    <t>Totaal elektriciteit (excl. BTW)</t>
  </si>
  <si>
    <t>Gas</t>
  </si>
  <si>
    <t>Energiebelasting 0-170000</t>
  </si>
  <si>
    <t>Verbruiken</t>
  </si>
  <si>
    <t>Totaal gas (excl. BTW)</t>
  </si>
  <si>
    <t>Totaal elektriciteit en gas (excl. BTW)</t>
  </si>
  <si>
    <t>Totaal elektriciteit en gas (incl. BTW)</t>
  </si>
  <si>
    <t>Per maand</t>
  </si>
  <si>
    <t>Tarief</t>
  </si>
  <si>
    <t>Kosten</t>
  </si>
  <si>
    <t>Berekening kosten 2025 (EVK)</t>
  </si>
  <si>
    <t xml:space="preserve">&lt;&lt; vul hier uw laatst bekende of verwachte jaarverbruik in </t>
  </si>
  <si>
    <t>&lt;&lt; verander dit bedrag in EUR 0,40510 indien het een GXX aansluiting betreft</t>
  </si>
  <si>
    <t>Energiebelasting 10001-50000</t>
  </si>
  <si>
    <t>&lt;&lt; verander dit bedrag in EUR 93,60 indien het een Grootverbruik aansluiting betreft</t>
  </si>
  <si>
    <t>* gebruik geen komma's maar een punt wanneer u bedragen invult</t>
  </si>
  <si>
    <t>&lt;&lt; vul hier uw jaarlijkse netbeheerkosten in  ( die vindt u op uw laatste jaarafrekening )</t>
  </si>
  <si>
    <t>Energiebelasting 2025</t>
  </si>
  <si>
    <t>BRON:</t>
  </si>
  <si>
    <t>Als verblijfsfunctie: Vrijstelling van € 524,95 per jaar = € 43,75 per maand | € 1,438 per dag</t>
  </si>
  <si>
    <t>https://www.belastingdienst.nl/wps/wcm/connect/bldcontentnl/belastingdienst/zakelijk/overige_belastingen/belastingen_op_milieugrondslag/tarieven_milieubelastingen/tabellen_tarieven_milieubelastingen</t>
  </si>
  <si>
    <t>Elektriciteit</t>
  </si>
  <si>
    <t>Totaal verbruik</t>
  </si>
  <si>
    <t>kWh</t>
  </si>
  <si>
    <t>EB</t>
  </si>
  <si>
    <t>ODE</t>
  </si>
  <si>
    <t>Totaal</t>
  </si>
  <si>
    <t>EB: Energie Belasting</t>
  </si>
  <si>
    <t>Trap</t>
  </si>
  <si>
    <t>Prijs/kWh</t>
  </si>
  <si>
    <t>Bedrag</t>
  </si>
  <si>
    <t>ODE: Opslag Duurzame Energie (in 2013 ingevoerd ; en in 2023 weer opgeheven!)</t>
  </si>
  <si>
    <t>0 tot 2900</t>
  </si>
  <si>
    <t>2900 tot 10.000</t>
  </si>
  <si>
    <t>10.000 tot 50.000</t>
  </si>
  <si>
    <t>50.000 tot 10.000.000</t>
  </si>
  <si>
    <t>&gt; 10.000.000 (zakelijk)</t>
  </si>
  <si>
    <t>Totaal bedrag</t>
  </si>
  <si>
    <t>ct./kWh</t>
  </si>
  <si>
    <t>(gemiddelde EB per kWh)</t>
  </si>
  <si>
    <t>Verschil met 2024</t>
  </si>
  <si>
    <t>Aardgas</t>
  </si>
  <si>
    <t>m³</t>
  </si>
  <si>
    <t>Prijs/m³</t>
  </si>
  <si>
    <t>0 tot 170.000</t>
  </si>
  <si>
    <t>170.000 tot 1.000.000</t>
  </si>
  <si>
    <t>1.000.000 tot 10.000.000</t>
  </si>
  <si>
    <t>&gt; 10.000.000</t>
  </si>
  <si>
    <t>ct./m³</t>
  </si>
  <si>
    <t>(gemiddelde EB per m³)</t>
  </si>
  <si>
    <t>Belasting op Leidingwater</t>
  </si>
  <si>
    <t>m3</t>
  </si>
  <si>
    <t>Prijs/m3</t>
  </si>
  <si>
    <t>0 tot 300</t>
  </si>
  <si>
    <t>300 tot 50.000</t>
  </si>
  <si>
    <t>50.000 tot 250.000</t>
  </si>
  <si>
    <t>250.000 tot 1.250.000</t>
  </si>
  <si>
    <t>&gt; 1.250.000</t>
  </si>
  <si>
    <t>Verschil met 2023</t>
  </si>
  <si>
    <t>Energiebelasting 0-2900</t>
  </si>
  <si>
    <t>Energiebelasting 2901-10000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</si>
</sst>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0000;[Red]&quot;€&quot;\ \-#,##0.000000"/>
    <numFmt numFmtId="166" formatCode="_-&quot;HFl.&quot;\ * #,##0.00_-;_-&quot;HFl.&quot;\ * #,##0.00\-;_-&quot;HFl.&quot;\ * &quot;-&quot;??_-;_-@_-"/>
    <numFmt numFmtId="167" formatCode="_-&quot;€&quot;\ * #,##0.00000"/>
    <numFmt numFmtId="168" formatCode="_-&quot;€&quot;\ * #,##0.000000"/>
    <numFmt numFmtId="169" formatCode="_-&quot;€&quot;\ * #,##0.00"/>
    <numFmt numFmtId="170" formatCode="&quot;€&quot;\ #,##0.0000000;[Red]&quot;€&quot;\ \-#,##0.0000000"/>
    <numFmt numFmtId="171" formatCode="_-&quot;€&quot;\ * #,##0.00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</font>
    <font>
      <b/>
      <sz val="14"/>
      <name val="Arial"/>
      <family val="2"/>
    </font>
    <font>
      <sz val="11"/>
      <color indexed="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8" tint="-0.249977111117893"/>
      <name val="Arial"/>
      <family val="2"/>
    </font>
    <font>
      <sz val="10"/>
      <color indexed="5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sz val="11"/>
      <color rgb="FFFFC000"/>
      <name val="Arial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rgb="FFFFC000"/>
      <name val="Arial"/>
      <family val="2"/>
    </font>
    <font>
      <sz val="11"/>
      <color indexed="14"/>
      <name val="Arial"/>
      <family val="2"/>
    </font>
    <font>
      <sz val="11"/>
      <color indexed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8">
    <xf numFmtId="0" fontId="0" fillId="0" borderId="0" xfId="0"/>
    <xf numFmtId="0" fontId="0" fillId="2" borderId="1" xfId="0" applyFill="1" applyBorder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/>
    <xf numFmtId="44" fontId="1" fillId="0" borderId="1" xfId="0" applyNumberFormat="1" applyFont="1" applyBorder="1"/>
    <xf numFmtId="0" fontId="0" fillId="3" borderId="0" xfId="0" applyFill="1"/>
    <xf numFmtId="0" fontId="0" fillId="3" borderId="1" xfId="0" applyFill="1" applyBorder="1"/>
    <xf numFmtId="0" fontId="0" fillId="2" borderId="0" xfId="0" applyFill="1"/>
    <xf numFmtId="169" fontId="5" fillId="0" borderId="2" xfId="4" applyNumberFormat="1" applyFont="1" applyBorder="1" applyAlignment="1" applyProtection="1">
      <alignment wrapText="1"/>
    </xf>
    <xf numFmtId="171" fontId="5" fillId="0" borderId="2" xfId="4" applyNumberFormat="1" applyFont="1" applyBorder="1" applyAlignment="1" applyProtection="1">
      <alignment wrapText="1"/>
    </xf>
    <xf numFmtId="171" fontId="5" fillId="0" borderId="0" xfId="4" applyNumberFormat="1" applyFont="1" applyBorder="1" applyAlignment="1" applyProtection="1">
      <alignment wrapText="1"/>
    </xf>
    <xf numFmtId="0" fontId="3" fillId="0" borderId="0" xfId="1" applyFont="1"/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2" applyProtection="1"/>
    <xf numFmtId="0" fontId="10" fillId="0" borderId="0" xfId="1" applyFont="1"/>
    <xf numFmtId="0" fontId="2" fillId="0" borderId="0" xfId="1" applyAlignment="1">
      <alignment horizontal="right"/>
    </xf>
    <xf numFmtId="164" fontId="11" fillId="0" borderId="0" xfId="3" applyNumberFormat="1" applyFont="1" applyProtection="1"/>
    <xf numFmtId="0" fontId="12" fillId="0" borderId="0" xfId="1" applyFont="1"/>
    <xf numFmtId="0" fontId="2" fillId="0" borderId="1" xfId="1" applyBorder="1"/>
    <xf numFmtId="0" fontId="5" fillId="0" borderId="1" xfId="1" applyFont="1" applyBorder="1"/>
    <xf numFmtId="0" fontId="13" fillId="0" borderId="0" xfId="1" applyFont="1" applyAlignment="1">
      <alignment horizontal="left"/>
    </xf>
    <xf numFmtId="0" fontId="2" fillId="0" borderId="1" xfId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2" fillId="0" borderId="0" xfId="1" applyNumberFormat="1"/>
    <xf numFmtId="8" fontId="2" fillId="0" borderId="0" xfId="1" applyNumberFormat="1"/>
    <xf numFmtId="167" fontId="5" fillId="0" borderId="1" xfId="4" applyNumberFormat="1" applyFont="1" applyFill="1" applyBorder="1" applyAlignment="1" applyProtection="1">
      <alignment wrapText="1"/>
    </xf>
    <xf numFmtId="168" fontId="5" fillId="0" borderId="1" xfId="4" applyNumberFormat="1" applyFont="1" applyFill="1" applyBorder="1" applyAlignment="1" applyProtection="1">
      <alignment wrapText="1"/>
    </xf>
    <xf numFmtId="167" fontId="5" fillId="0" borderId="1" xfId="4" applyNumberFormat="1" applyFont="1" applyBorder="1" applyAlignment="1" applyProtection="1">
      <alignment wrapText="1"/>
    </xf>
    <xf numFmtId="170" fontId="2" fillId="0" borderId="0" xfId="1" applyNumberFormat="1"/>
    <xf numFmtId="0" fontId="14" fillId="0" borderId="0" xfId="1" applyFont="1"/>
    <xf numFmtId="0" fontId="6" fillId="0" borderId="3" xfId="1" applyFont="1" applyBorder="1"/>
    <xf numFmtId="0" fontId="6" fillId="0" borderId="4" xfId="1" applyFont="1" applyBorder="1"/>
    <xf numFmtId="0" fontId="15" fillId="0" borderId="4" xfId="1" applyFont="1" applyBorder="1"/>
    <xf numFmtId="0" fontId="16" fillId="0" borderId="0" xfId="1" applyFont="1"/>
    <xf numFmtId="171" fontId="5" fillId="0" borderId="1" xfId="4" applyNumberFormat="1" applyFont="1" applyFill="1" applyBorder="1" applyAlignment="1" applyProtection="1">
      <alignment wrapText="1"/>
    </xf>
    <xf numFmtId="0" fontId="17" fillId="0" borderId="0" xfId="1" applyFont="1"/>
    <xf numFmtId="0" fontId="2" fillId="0" borderId="5" xfId="1" applyBorder="1" applyAlignment="1">
      <alignment horizontal="center"/>
    </xf>
    <xf numFmtId="167" fontId="5" fillId="0" borderId="5" xfId="4" applyNumberFormat="1" applyFont="1" applyBorder="1" applyAlignment="1" applyProtection="1">
      <alignment wrapText="1"/>
    </xf>
    <xf numFmtId="171" fontId="5" fillId="0" borderId="6" xfId="4" applyNumberFormat="1" applyFont="1" applyBorder="1" applyAlignment="1" applyProtection="1">
      <alignment wrapText="1"/>
    </xf>
    <xf numFmtId="0" fontId="2" fillId="0" borderId="6" xfId="1" applyBorder="1" applyAlignment="1">
      <alignment horizontal="center"/>
    </xf>
    <xf numFmtId="167" fontId="5" fillId="0" borderId="6" xfId="4" applyNumberFormat="1" applyFont="1" applyBorder="1" applyAlignment="1" applyProtection="1">
      <alignment wrapText="1"/>
    </xf>
    <xf numFmtId="0" fontId="6" fillId="0" borderId="5" xfId="1" applyFont="1" applyBorder="1"/>
  </cellXfs>
  <cellStyles count="5">
    <cellStyle name="Hyperlink 2" xfId="2" xr:uid="{9CF27F40-6150-4B25-8F46-CC655DCFEC13}"/>
    <cellStyle name="Komma 2" xfId="3" xr:uid="{B3B9BEB6-8466-4BB5-B1A0-CC7E5DBEF622}"/>
    <cellStyle name="Standaard" xfId="0" builtinId="0"/>
    <cellStyle name="Standaard 2" xfId="1" xr:uid="{B8D3B321-663E-4A5C-99DA-DDA984587D20}"/>
    <cellStyle name="Valuta 2" xfId="4" xr:uid="{628C137E-271F-453B-A9A5-BBD5EBC3A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die.loet\AppData\Local\Microsoft\Windows\INetCache\Content.Outlook\OC26H646\Energiebelasting%202025.xlsx" TargetMode="External"/><Relationship Id="rId1" Type="http://schemas.openxmlformats.org/officeDocument/2006/relationships/externalLinkPath" Target="/Users/geordie.loet/AppData/Local/Microsoft/Windows/INetCache/Content.Outlook/OC26H646/Energiebelasti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Grafiek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C38">
            <v>0</v>
          </cell>
        </row>
      </sheetData>
      <sheetData sheetId="21"/>
      <sheetData sheetId="22"/>
      <sheetData sheetId="23"/>
      <sheetData sheetId="24">
        <row r="47">
          <cell r="G47">
            <v>0</v>
          </cell>
        </row>
      </sheetData>
      <sheetData sheetId="25">
        <row r="14">
          <cell r="G14">
            <v>219596.3</v>
          </cell>
        </row>
        <row r="28">
          <cell r="G28">
            <v>117014.1</v>
          </cell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astingdienst.nl/wps/wcm/connect/bldcontentnl/belastingdienst/zakelijk/overige_belastingen/belastingen_op_milieugrondslag/tarieven_milieubelastingen/tabellen_tarieven_milieubelasting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E740-E24B-4D6C-B688-B83581E83C0D}">
  <dimension ref="A1:S41"/>
  <sheetViews>
    <sheetView workbookViewId="0">
      <selection activeCell="C18" sqref="C18"/>
    </sheetView>
  </sheetViews>
  <sheetFormatPr defaultRowHeight="13.8" x14ac:dyDescent="0.25"/>
  <cols>
    <col min="1" max="1" width="8.88671875" style="13"/>
    <col min="2" max="2" width="23.5546875" style="13" customWidth="1"/>
    <col min="3" max="3" width="20.44140625" style="13" customWidth="1"/>
    <col min="4" max="4" width="13" style="13" customWidth="1"/>
    <col min="5" max="5" width="11.5546875" style="13" bestFit="1" customWidth="1"/>
    <col min="6" max="6" width="12.6640625" style="13" customWidth="1"/>
    <col min="7" max="7" width="18" style="13" customWidth="1"/>
    <col min="8" max="8" width="21.5546875" style="13" customWidth="1"/>
    <col min="9" max="13" width="8.88671875" style="13"/>
    <col min="14" max="14" width="19.6640625" style="13" bestFit="1" customWidth="1"/>
    <col min="15" max="16384" width="8.88671875" style="13"/>
  </cols>
  <sheetData>
    <row r="1" spans="1:18" ht="17.399999999999999" x14ac:dyDescent="0.3">
      <c r="A1" s="12" t="s">
        <v>23</v>
      </c>
      <c r="C1" s="14"/>
      <c r="D1" s="14"/>
      <c r="E1" s="14"/>
      <c r="H1" s="15"/>
      <c r="J1" s="16" t="s">
        <v>24</v>
      </c>
    </row>
    <row r="2" spans="1:18" ht="17.399999999999999" x14ac:dyDescent="0.3">
      <c r="A2" s="12"/>
      <c r="C2" s="17" t="s">
        <v>25</v>
      </c>
      <c r="D2" s="18"/>
      <c r="E2" s="18"/>
      <c r="H2" s="15"/>
      <c r="J2" s="19" t="s">
        <v>26</v>
      </c>
    </row>
    <row r="3" spans="1:18" x14ac:dyDescent="0.25">
      <c r="C3" s="18"/>
      <c r="D3" s="18"/>
      <c r="E3" s="18"/>
    </row>
    <row r="4" spans="1:18" x14ac:dyDescent="0.25">
      <c r="A4" s="20" t="s">
        <v>27</v>
      </c>
    </row>
    <row r="5" spans="1:18" x14ac:dyDescent="0.25">
      <c r="B5" s="21" t="s">
        <v>28</v>
      </c>
      <c r="C5" s="22">
        <f>+rekentool!B28+rekentool!B29</f>
        <v>0</v>
      </c>
      <c r="D5" s="13" t="s">
        <v>29</v>
      </c>
      <c r="E5" s="23"/>
    </row>
    <row r="7" spans="1:18" x14ac:dyDescent="0.25">
      <c r="B7" s="24"/>
      <c r="C7" s="24"/>
      <c r="D7" s="25" t="s">
        <v>30</v>
      </c>
      <c r="E7" s="25" t="s">
        <v>31</v>
      </c>
      <c r="F7" s="25" t="s">
        <v>32</v>
      </c>
      <c r="G7" s="24"/>
      <c r="I7" s="26" t="s">
        <v>33</v>
      </c>
    </row>
    <row r="8" spans="1:18" x14ac:dyDescent="0.25">
      <c r="B8" s="27" t="s">
        <v>34</v>
      </c>
      <c r="C8" s="27" t="s">
        <v>29</v>
      </c>
      <c r="D8" s="27" t="s">
        <v>35</v>
      </c>
      <c r="E8" s="28" t="s">
        <v>35</v>
      </c>
      <c r="F8" s="27" t="s">
        <v>35</v>
      </c>
      <c r="G8" s="28" t="s">
        <v>36</v>
      </c>
      <c r="I8" s="26" t="s">
        <v>37</v>
      </c>
      <c r="N8" s="29"/>
      <c r="O8" s="30"/>
      <c r="P8" s="30"/>
      <c r="Q8" s="30"/>
      <c r="R8" s="30"/>
    </row>
    <row r="9" spans="1:18" x14ac:dyDescent="0.25">
      <c r="B9" s="28" t="s">
        <v>38</v>
      </c>
      <c r="C9" s="27">
        <f>IF(C5&gt;2900,2900,C5)</f>
        <v>0</v>
      </c>
      <c r="D9" s="31">
        <v>0.10154000000000001</v>
      </c>
      <c r="E9" s="32">
        <v>0</v>
      </c>
      <c r="F9" s="33">
        <f>D9+E9</f>
        <v>0.10154000000000001</v>
      </c>
      <c r="G9" s="9">
        <f>F9*C9</f>
        <v>0</v>
      </c>
      <c r="N9" s="34"/>
    </row>
    <row r="10" spans="1:18" x14ac:dyDescent="0.25">
      <c r="B10" s="28" t="s">
        <v>39</v>
      </c>
      <c r="C10" s="27">
        <f>IF(AND($C$5&gt;2899,$C$5&lt;10000),$C$5-2900,IF(C9=2900,7100,0))</f>
        <v>0</v>
      </c>
      <c r="D10" s="31">
        <v>0.10154000000000001</v>
      </c>
      <c r="E10" s="32">
        <v>0</v>
      </c>
      <c r="F10" s="33">
        <f t="shared" ref="F10:F12" si="0">D10+E10</f>
        <v>0.10154000000000001</v>
      </c>
      <c r="G10" s="9">
        <f>F10*C10</f>
        <v>0</v>
      </c>
      <c r="H10" s="35"/>
      <c r="N10" s="34"/>
    </row>
    <row r="11" spans="1:18" x14ac:dyDescent="0.25">
      <c r="B11" s="28" t="s">
        <v>40</v>
      </c>
      <c r="C11" s="27">
        <f>IF(AND($C$5&gt;9999,$C$5&lt;50000),$C$5-10000,IF(C10=7100,40000,0))</f>
        <v>0</v>
      </c>
      <c r="D11" s="31">
        <v>6.9370000000000001E-2</v>
      </c>
      <c r="E11" s="32">
        <v>0</v>
      </c>
      <c r="F11" s="33">
        <f t="shared" si="0"/>
        <v>6.9370000000000001E-2</v>
      </c>
      <c r="G11" s="9">
        <f>F11*C11</f>
        <v>0</v>
      </c>
      <c r="H11" s="35"/>
      <c r="N11" s="34"/>
    </row>
    <row r="12" spans="1:18" x14ac:dyDescent="0.25">
      <c r="B12" s="28" t="s">
        <v>41</v>
      </c>
      <c r="C12" s="27">
        <f>IF(AND($C$5&gt;49999,$C$5&lt;10000000),$C$5-50000,IF(C11=40000,9950000,0))</f>
        <v>0</v>
      </c>
      <c r="D12" s="31">
        <v>3.8679999999999999E-2</v>
      </c>
      <c r="E12" s="32">
        <v>0</v>
      </c>
      <c r="F12" s="33">
        <f t="shared" si="0"/>
        <v>3.8679999999999999E-2</v>
      </c>
      <c r="G12" s="9">
        <f>F12*C12</f>
        <v>0</v>
      </c>
      <c r="N12" s="34"/>
    </row>
    <row r="13" spans="1:18" x14ac:dyDescent="0.25">
      <c r="B13" s="27" t="s">
        <v>42</v>
      </c>
      <c r="C13" s="27">
        <f>IF($C$5&gt;9999999,$C$5-10000000,0)</f>
        <v>0</v>
      </c>
      <c r="D13" s="31">
        <v>3.2100000000000002E-3</v>
      </c>
      <c r="E13" s="32">
        <v>0</v>
      </c>
      <c r="F13" s="33">
        <f>D13+E13</f>
        <v>3.2100000000000002E-3</v>
      </c>
      <c r="G13" s="9">
        <f>F13*C13</f>
        <v>0</v>
      </c>
      <c r="N13" s="34"/>
    </row>
    <row r="14" spans="1:18" x14ac:dyDescent="0.25">
      <c r="B14" s="36" t="s">
        <v>43</v>
      </c>
      <c r="C14" s="37"/>
      <c r="D14" s="37"/>
      <c r="E14" s="38"/>
      <c r="F14" s="37"/>
      <c r="G14" s="9">
        <f>SUM(G9:G13)</f>
        <v>0</v>
      </c>
      <c r="H14" s="13" t="e">
        <f>(G14/C5)*100</f>
        <v>#DIV/0!</v>
      </c>
      <c r="I14" s="13" t="s">
        <v>44</v>
      </c>
      <c r="J14" s="13" t="s">
        <v>45</v>
      </c>
    </row>
    <row r="15" spans="1:18" x14ac:dyDescent="0.25">
      <c r="C15" s="39" t="s">
        <v>46</v>
      </c>
      <c r="D15" s="39"/>
      <c r="E15" s="23"/>
      <c r="F15" s="39"/>
      <c r="G15" s="9">
        <f>G14-'[1]2024'!G14</f>
        <v>-219596.3</v>
      </c>
    </row>
    <row r="16" spans="1:18" x14ac:dyDescent="0.25">
      <c r="E16" s="23"/>
    </row>
    <row r="17" spans="1:19" x14ac:dyDescent="0.25">
      <c r="A17" s="20" t="s">
        <v>47</v>
      </c>
      <c r="E17" s="23"/>
    </row>
    <row r="18" spans="1:19" x14ac:dyDescent="0.25">
      <c r="B18" s="21" t="s">
        <v>28</v>
      </c>
      <c r="C18" s="22">
        <v>250000</v>
      </c>
      <c r="D18" s="15" t="s">
        <v>48</v>
      </c>
      <c r="E18" s="23"/>
    </row>
    <row r="19" spans="1:19" x14ac:dyDescent="0.25">
      <c r="E19" s="23"/>
    </row>
    <row r="20" spans="1:19" x14ac:dyDescent="0.25">
      <c r="B20" s="24"/>
      <c r="C20" s="24"/>
      <c r="D20" s="25" t="s">
        <v>30</v>
      </c>
      <c r="E20" s="25" t="s">
        <v>31</v>
      </c>
      <c r="F20" s="25" t="s">
        <v>32</v>
      </c>
      <c r="G20" s="24"/>
    </row>
    <row r="21" spans="1:19" x14ac:dyDescent="0.25">
      <c r="B21" s="27" t="s">
        <v>34</v>
      </c>
      <c r="C21" s="28" t="s">
        <v>48</v>
      </c>
      <c r="D21" s="28" t="s">
        <v>49</v>
      </c>
      <c r="E21" s="28" t="s">
        <v>49</v>
      </c>
      <c r="F21" s="28" t="s">
        <v>49</v>
      </c>
      <c r="G21" s="27" t="s">
        <v>36</v>
      </c>
    </row>
    <row r="22" spans="1:19" x14ac:dyDescent="0.25">
      <c r="B22" s="27" t="s">
        <v>50</v>
      </c>
      <c r="C22" s="27">
        <f>IF(C18&gt;170000,170000,C18)</f>
        <v>170000</v>
      </c>
      <c r="D22" s="31">
        <v>0.57816000000000001</v>
      </c>
      <c r="E22" s="40">
        <v>0</v>
      </c>
      <c r="F22" s="33">
        <f>D22+E22</f>
        <v>0.57816000000000001</v>
      </c>
      <c r="G22" s="9">
        <f>F22*C22</f>
        <v>98287.2</v>
      </c>
      <c r="O22" s="30"/>
      <c r="P22" s="30"/>
      <c r="Q22" s="30"/>
      <c r="R22" s="30"/>
      <c r="S22" s="30"/>
    </row>
    <row r="23" spans="1:19" x14ac:dyDescent="0.25">
      <c r="B23" s="27" t="s">
        <v>51</v>
      </c>
      <c r="C23" s="27">
        <f>IF(AND($C$18&gt;169999,$C$18&lt;1000000),$C$18-170000,IF(C22=170000,830000,0))</f>
        <v>80000</v>
      </c>
      <c r="D23" s="31">
        <v>0.31573000000000001</v>
      </c>
      <c r="E23" s="40">
        <v>0</v>
      </c>
      <c r="F23" s="33">
        <f t="shared" ref="F23:F25" si="1">D23+E23</f>
        <v>0.31573000000000001</v>
      </c>
      <c r="G23" s="9">
        <f>F23*C23</f>
        <v>25258.400000000001</v>
      </c>
    </row>
    <row r="24" spans="1:19" x14ac:dyDescent="0.25">
      <c r="B24" s="27" t="s">
        <v>52</v>
      </c>
      <c r="C24" s="27">
        <f>IF(AND($C$18&gt;999999,$C$18&lt;10000000),$C$18-1000000,IF(C23=830000,9000000,0))</f>
        <v>0</v>
      </c>
      <c r="D24" s="31">
        <v>0.20347000000000001</v>
      </c>
      <c r="E24" s="40">
        <v>0</v>
      </c>
      <c r="F24" s="33">
        <f t="shared" si="1"/>
        <v>0.20347000000000001</v>
      </c>
      <c r="G24" s="9">
        <f>F24*C24</f>
        <v>0</v>
      </c>
    </row>
    <row r="25" spans="1:19" x14ac:dyDescent="0.25">
      <c r="B25" s="24" t="s">
        <v>53</v>
      </c>
      <c r="C25" s="27">
        <f>IF($C$18&gt;9999999,$C$18-10000000,0)</f>
        <v>0</v>
      </c>
      <c r="D25" s="31">
        <v>5.3850000000000002E-2</v>
      </c>
      <c r="E25" s="40">
        <v>0</v>
      </c>
      <c r="F25" s="33">
        <f t="shared" si="1"/>
        <v>5.3850000000000002E-2</v>
      </c>
      <c r="G25" s="9">
        <f>F25*C25</f>
        <v>0</v>
      </c>
    </row>
    <row r="26" spans="1:19" x14ac:dyDescent="0.25">
      <c r="B26" s="36" t="s">
        <v>43</v>
      </c>
      <c r="C26" s="37"/>
      <c r="D26" s="37"/>
      <c r="E26" s="37"/>
      <c r="F26" s="37"/>
      <c r="G26" s="10">
        <f>SUM(G22:G25)</f>
        <v>123545.60000000001</v>
      </c>
      <c r="H26" s="13">
        <f>(G26/C18)*100</f>
        <v>49.418240000000004</v>
      </c>
      <c r="I26" s="15" t="s">
        <v>54</v>
      </c>
      <c r="J26" s="15" t="s">
        <v>55</v>
      </c>
    </row>
    <row r="27" spans="1:19" x14ac:dyDescent="0.25">
      <c r="C27" s="39" t="s">
        <v>46</v>
      </c>
      <c r="D27" s="39"/>
      <c r="E27" s="39"/>
      <c r="G27" s="10">
        <f>G26-'[1]2024'!G28</f>
        <v>6531.5</v>
      </c>
    </row>
    <row r="28" spans="1:19" x14ac:dyDescent="0.25">
      <c r="C28" s="39"/>
      <c r="D28" s="39"/>
      <c r="E28" s="39"/>
      <c r="G28" s="11"/>
    </row>
    <row r="30" spans="1:19" x14ac:dyDescent="0.25">
      <c r="A30" s="20" t="s">
        <v>56</v>
      </c>
      <c r="C30" s="41"/>
      <c r="D30" s="41"/>
      <c r="E30" s="41"/>
    </row>
    <row r="31" spans="1:19" x14ac:dyDescent="0.25">
      <c r="B31" s="21" t="s">
        <v>28</v>
      </c>
      <c r="C31" s="35">
        <f>'[1]2019'!C38</f>
        <v>0</v>
      </c>
      <c r="D31" s="13" t="s">
        <v>57</v>
      </c>
      <c r="E31" s="35"/>
    </row>
    <row r="33" spans="2:7" x14ac:dyDescent="0.25">
      <c r="B33" s="24"/>
      <c r="C33" s="24"/>
      <c r="D33" s="24"/>
      <c r="E33" s="24"/>
      <c r="F33" s="24"/>
      <c r="G33" s="24"/>
    </row>
    <row r="34" spans="2:7" x14ac:dyDescent="0.25">
      <c r="B34" s="27" t="s">
        <v>34</v>
      </c>
      <c r="C34" s="27" t="s">
        <v>57</v>
      </c>
      <c r="D34" s="27"/>
      <c r="E34" s="27"/>
      <c r="F34" s="27" t="s">
        <v>58</v>
      </c>
      <c r="G34" s="27" t="s">
        <v>36</v>
      </c>
    </row>
    <row r="35" spans="2:7" x14ac:dyDescent="0.25">
      <c r="B35" s="27" t="s">
        <v>59</v>
      </c>
      <c r="C35" s="27">
        <f>IF(C31&gt;300,300,C31)</f>
        <v>0</v>
      </c>
      <c r="D35" s="42"/>
      <c r="E35" s="42"/>
      <c r="F35" s="43">
        <v>0.42499999999999999</v>
      </c>
      <c r="G35" s="44">
        <f t="shared" ref="G35:G39" si="2">C35*F35</f>
        <v>0</v>
      </c>
    </row>
    <row r="36" spans="2:7" x14ac:dyDescent="0.25">
      <c r="B36" s="27" t="s">
        <v>60</v>
      </c>
      <c r="C36" s="27">
        <f>IF(AND($C$31&gt;299,$C$31&lt;50000),$C$31-300,IF(C35=300,49700,0))</f>
        <v>0</v>
      </c>
      <c r="D36" s="45"/>
      <c r="E36" s="45"/>
      <c r="F36" s="46">
        <v>0</v>
      </c>
      <c r="G36" s="44">
        <f t="shared" si="2"/>
        <v>0</v>
      </c>
    </row>
    <row r="37" spans="2:7" x14ac:dyDescent="0.25">
      <c r="B37" s="27" t="s">
        <v>61</v>
      </c>
      <c r="C37" s="27">
        <f>IF(AND($C$31&gt;49999,$C$31&lt;250000),$C$31-50000,IF(C36=49700,200000,0))</f>
        <v>0</v>
      </c>
      <c r="D37" s="45"/>
      <c r="E37" s="45"/>
      <c r="F37" s="46">
        <v>0</v>
      </c>
      <c r="G37" s="44">
        <f t="shared" si="2"/>
        <v>0</v>
      </c>
    </row>
    <row r="38" spans="2:7" x14ac:dyDescent="0.25">
      <c r="B38" s="27" t="s">
        <v>62</v>
      </c>
      <c r="C38" s="27">
        <f>IF(AND($C$31&gt;249999,$C$31&lt;1125000),$C$31-250000,IF(C37=200000,1000000,0))</f>
        <v>0</v>
      </c>
      <c r="D38" s="45"/>
      <c r="E38" s="45"/>
      <c r="F38" s="46">
        <v>0</v>
      </c>
      <c r="G38" s="44">
        <f t="shared" si="2"/>
        <v>0</v>
      </c>
    </row>
    <row r="39" spans="2:7" x14ac:dyDescent="0.25">
      <c r="B39" s="24" t="s">
        <v>63</v>
      </c>
      <c r="C39" s="27">
        <f>IF($C$31&gt;1249999,$C$31-1250000,0)</f>
        <v>0</v>
      </c>
      <c r="D39" s="45"/>
      <c r="E39" s="45"/>
      <c r="F39" s="46">
        <v>0</v>
      </c>
      <c r="G39" s="44">
        <f t="shared" si="2"/>
        <v>0</v>
      </c>
    </row>
    <row r="40" spans="2:7" x14ac:dyDescent="0.25">
      <c r="B40" s="36" t="s">
        <v>43</v>
      </c>
      <c r="C40" s="37"/>
      <c r="D40" s="37"/>
      <c r="E40" s="37"/>
      <c r="F40" s="47"/>
      <c r="G40" s="44">
        <f>SUM(G35:G39)</f>
        <v>0</v>
      </c>
    </row>
    <row r="41" spans="2:7" x14ac:dyDescent="0.25">
      <c r="C41" s="39" t="s">
        <v>64</v>
      </c>
      <c r="D41" s="39"/>
      <c r="E41" s="39"/>
      <c r="G41" s="10">
        <f>G40-'[1]2023'!G47</f>
        <v>0</v>
      </c>
    </row>
  </sheetData>
  <sheetProtection algorithmName="SHA-512" hashValue="7iowk8H0tP9oyXTAnYX24AHCRcrRU3e5ag5yiLj7QR61N2isT7668Lp8PVuoqeBPf/WKZCSraUCCTceF3sP0sw==" saltValue="/cNmkelO8YQ2vZFDTsLDXA==" spinCount="100000" sheet="1" objects="1" scenarios="1"/>
  <hyperlinks>
    <hyperlink ref="J2" r:id="rId1" xr:uid="{8B1D260F-D14D-4059-87DE-8489B24A3E5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3E01-D151-4920-A5DC-871A4021D4A3}">
  <dimension ref="A1:D33"/>
  <sheetViews>
    <sheetView tabSelected="1" workbookViewId="0">
      <selection activeCell="B27" sqref="B27"/>
    </sheetView>
  </sheetViews>
  <sheetFormatPr defaultRowHeight="14.4" x14ac:dyDescent="0.3"/>
  <cols>
    <col min="1" max="1" width="54" bestFit="1" customWidth="1"/>
    <col min="2" max="2" width="13.5546875" customWidth="1"/>
    <col min="3" max="3" width="18.77734375" customWidth="1"/>
    <col min="4" max="4" width="72.109375" bestFit="1" customWidth="1"/>
  </cols>
  <sheetData>
    <row r="1" spans="1:4" x14ac:dyDescent="0.3">
      <c r="A1" s="1" t="s">
        <v>16</v>
      </c>
      <c r="B1" s="1" t="s">
        <v>14</v>
      </c>
      <c r="C1" s="1" t="s">
        <v>15</v>
      </c>
    </row>
    <row r="2" spans="1:4" x14ac:dyDescent="0.3">
      <c r="A2" s="2"/>
      <c r="B2" s="2"/>
      <c r="C2" s="2"/>
    </row>
    <row r="3" spans="1:4" x14ac:dyDescent="0.3">
      <c r="A3" s="2" t="s">
        <v>0</v>
      </c>
      <c r="B3" s="2">
        <v>0.11341</v>
      </c>
      <c r="C3" s="3">
        <f>B3*B28</f>
        <v>0</v>
      </c>
    </row>
    <row r="4" spans="1:4" x14ac:dyDescent="0.3">
      <c r="A4" s="2" t="s">
        <v>1</v>
      </c>
      <c r="B4" s="2">
        <v>9.536E-2</v>
      </c>
      <c r="C4" s="3">
        <f>B4*B29</f>
        <v>0</v>
      </c>
    </row>
    <row r="5" spans="1:4" x14ac:dyDescent="0.3">
      <c r="A5" s="2" t="s">
        <v>2</v>
      </c>
      <c r="B5" s="2"/>
      <c r="C5" s="3">
        <v>45.6</v>
      </c>
      <c r="D5" s="6" t="s">
        <v>20</v>
      </c>
    </row>
    <row r="6" spans="1:4" x14ac:dyDescent="0.3">
      <c r="A6" s="2" t="s">
        <v>65</v>
      </c>
      <c r="B6" s="2">
        <f>+'2025'!D9</f>
        <v>0.10154000000000001</v>
      </c>
      <c r="C6" s="3">
        <f>+'2025'!G9</f>
        <v>0</v>
      </c>
    </row>
    <row r="7" spans="1:4" x14ac:dyDescent="0.3">
      <c r="A7" s="2" t="s">
        <v>66</v>
      </c>
      <c r="B7" s="2">
        <f>+'2025'!D10</f>
        <v>0.10154000000000001</v>
      </c>
      <c r="C7" s="3">
        <f>+'2025'!G10</f>
        <v>0</v>
      </c>
    </row>
    <row r="8" spans="1:4" x14ac:dyDescent="0.3">
      <c r="A8" s="2" t="s">
        <v>19</v>
      </c>
      <c r="B8" s="2">
        <v>6.9370000000000001E-2</v>
      </c>
      <c r="C8" s="3">
        <f>+'2025'!G11</f>
        <v>0</v>
      </c>
    </row>
    <row r="9" spans="1:4" x14ac:dyDescent="0.3">
      <c r="A9" s="2" t="s">
        <v>3</v>
      </c>
      <c r="B9" s="2">
        <v>3.8679999999999999E-2</v>
      </c>
      <c r="C9" s="3">
        <f>+'2025'!G12</f>
        <v>0</v>
      </c>
    </row>
    <row r="10" spans="1:4" x14ac:dyDescent="0.3">
      <c r="A10" s="2" t="s">
        <v>4</v>
      </c>
      <c r="B10" s="2"/>
      <c r="C10" s="3">
        <v>-524.95000000000005</v>
      </c>
    </row>
    <row r="11" spans="1:4" x14ac:dyDescent="0.3">
      <c r="A11" s="2" t="s">
        <v>5</v>
      </c>
      <c r="B11" s="2"/>
      <c r="C11" s="3">
        <f>B11*365</f>
        <v>0</v>
      </c>
      <c r="D11" s="6" t="s">
        <v>22</v>
      </c>
    </row>
    <row r="12" spans="1:4" x14ac:dyDescent="0.3">
      <c r="A12" s="2"/>
      <c r="B12" s="2"/>
      <c r="C12" s="3"/>
    </row>
    <row r="13" spans="1:4" x14ac:dyDescent="0.3">
      <c r="A13" s="2" t="s">
        <v>6</v>
      </c>
      <c r="B13" s="2"/>
      <c r="C13" s="3">
        <f>SUM(C3:C11)</f>
        <v>-479.35</v>
      </c>
    </row>
    <row r="14" spans="1:4" x14ac:dyDescent="0.3">
      <c r="A14" s="2"/>
      <c r="B14" s="2"/>
      <c r="C14" s="3"/>
    </row>
    <row r="15" spans="1:4" x14ac:dyDescent="0.3">
      <c r="A15" s="2" t="s">
        <v>7</v>
      </c>
      <c r="B15" s="2">
        <v>0.41771000000000003</v>
      </c>
      <c r="C15" s="3">
        <f>B15*B31</f>
        <v>0</v>
      </c>
      <c r="D15" s="6" t="s">
        <v>18</v>
      </c>
    </row>
    <row r="16" spans="1:4" x14ac:dyDescent="0.3">
      <c r="A16" s="2" t="s">
        <v>2</v>
      </c>
      <c r="B16" s="2"/>
      <c r="C16" s="3">
        <v>45.6</v>
      </c>
      <c r="D16" s="6" t="s">
        <v>20</v>
      </c>
    </row>
    <row r="17" spans="1:4" x14ac:dyDescent="0.3">
      <c r="A17" s="2" t="s">
        <v>8</v>
      </c>
      <c r="B17" s="2">
        <v>0.57816000000000001</v>
      </c>
      <c r="C17" s="3">
        <f>B17*B31</f>
        <v>0</v>
      </c>
    </row>
    <row r="18" spans="1:4" x14ac:dyDescent="0.3">
      <c r="A18" s="2" t="s">
        <v>5</v>
      </c>
      <c r="B18" s="2"/>
      <c r="C18" s="3">
        <f>B18*365</f>
        <v>0</v>
      </c>
    </row>
    <row r="19" spans="1:4" x14ac:dyDescent="0.3">
      <c r="A19" s="2"/>
      <c r="B19" s="2"/>
      <c r="C19" s="3"/>
    </row>
    <row r="20" spans="1:4" x14ac:dyDescent="0.3">
      <c r="A20" s="2" t="s">
        <v>10</v>
      </c>
      <c r="B20" s="2"/>
      <c r="C20" s="3">
        <f>C15+C16+C17+C18</f>
        <v>45.6</v>
      </c>
    </row>
    <row r="21" spans="1:4" x14ac:dyDescent="0.3">
      <c r="A21" s="2"/>
      <c r="B21" s="2"/>
      <c r="C21" s="3"/>
    </row>
    <row r="22" spans="1:4" x14ac:dyDescent="0.3">
      <c r="A22" s="2" t="s">
        <v>11</v>
      </c>
      <c r="B22" s="2"/>
      <c r="C22" s="3">
        <f>C13+C20</f>
        <v>-433.75</v>
      </c>
    </row>
    <row r="23" spans="1:4" x14ac:dyDescent="0.3">
      <c r="A23" s="2" t="s">
        <v>12</v>
      </c>
      <c r="B23" s="2"/>
      <c r="C23" s="3">
        <f>C22*1.21</f>
        <v>-524.83749999999998</v>
      </c>
    </row>
    <row r="24" spans="1:4" x14ac:dyDescent="0.3">
      <c r="A24" s="4" t="s">
        <v>13</v>
      </c>
      <c r="B24" s="4"/>
      <c r="C24" s="5">
        <f>C23/12</f>
        <v>-43.736458333333331</v>
      </c>
    </row>
    <row r="25" spans="1:4" x14ac:dyDescent="0.3">
      <c r="A25" s="2"/>
      <c r="B25" s="2"/>
      <c r="C25" s="2"/>
    </row>
    <row r="26" spans="1:4" x14ac:dyDescent="0.3">
      <c r="A26" s="2"/>
      <c r="B26" s="2"/>
      <c r="C26" s="2"/>
    </row>
    <row r="27" spans="1:4" x14ac:dyDescent="0.3">
      <c r="A27" s="4" t="s">
        <v>9</v>
      </c>
      <c r="B27" s="2"/>
      <c r="C27" s="2"/>
    </row>
    <row r="28" spans="1:4" x14ac:dyDescent="0.3">
      <c r="A28" s="2" t="s">
        <v>0</v>
      </c>
      <c r="B28" s="7"/>
      <c r="C28" s="2"/>
      <c r="D28" s="6" t="s">
        <v>17</v>
      </c>
    </row>
    <row r="29" spans="1:4" x14ac:dyDescent="0.3">
      <c r="A29" s="2" t="s">
        <v>1</v>
      </c>
      <c r="B29" s="7"/>
      <c r="C29" s="2"/>
      <c r="D29" s="6" t="s">
        <v>17</v>
      </c>
    </row>
    <row r="30" spans="1:4" x14ac:dyDescent="0.3">
      <c r="A30" s="2"/>
      <c r="B30" s="2"/>
      <c r="C30" s="2"/>
    </row>
    <row r="31" spans="1:4" x14ac:dyDescent="0.3">
      <c r="A31" s="2" t="s">
        <v>7</v>
      </c>
      <c r="B31" s="7"/>
      <c r="C31" s="2"/>
      <c r="D31" s="6" t="s">
        <v>17</v>
      </c>
    </row>
    <row r="33" spans="1:1" x14ac:dyDescent="0.3">
      <c r="A33" s="8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2025</vt:lpstr>
      <vt:lpstr>rekentool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Casja Hoogendoorn | Hellemans Consultancy</dc:creator>
  <cp:lastModifiedBy>Geordie Loet | Hellemans Consultancy</cp:lastModifiedBy>
  <dcterms:created xsi:type="dcterms:W3CDTF">2025-09-09T05:51:27Z</dcterms:created>
  <dcterms:modified xsi:type="dcterms:W3CDTF">2025-11-17T12:36:00Z</dcterms:modified>
</cp:coreProperties>
</file>